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Table 4-Colo Gen" sheetId="3" r:id="rId1"/>
    <sheet name="Table 5-Base Allocation" sheetId="4" r:id="rId2"/>
    <sheet name="Table 6-3% Allocation" sheetId="5" r:id="rId3"/>
    <sheet name="Table 7-conv Gen Allocation" sheetId="6" r:id="rId4"/>
  </sheets>
  <calcPr calcId="125725"/>
</workbook>
</file>

<file path=xl/calcChain.xml><?xml version="1.0" encoding="utf-8"?>
<calcChain xmlns="http://schemas.openxmlformats.org/spreadsheetml/2006/main">
  <c r="E26" i="6"/>
  <c r="C26"/>
  <c r="E13"/>
  <c r="C13"/>
  <c r="E12"/>
  <c r="E11"/>
  <c r="E10"/>
  <c r="E9"/>
  <c r="C12"/>
  <c r="C11"/>
  <c r="C10"/>
  <c r="C9"/>
  <c r="H38" i="5"/>
  <c r="H36"/>
  <c r="H34"/>
  <c r="H32"/>
  <c r="H31"/>
  <c r="H29"/>
  <c r="H18"/>
  <c r="H16"/>
  <c r="H14"/>
  <c r="H12"/>
  <c r="H11"/>
  <c r="H9"/>
  <c r="H31" i="4"/>
  <c r="H34"/>
  <c r="H36"/>
  <c r="H38"/>
  <c r="H29"/>
  <c r="H18"/>
  <c r="H16"/>
  <c r="H14"/>
  <c r="H12"/>
  <c r="H11"/>
  <c r="H9"/>
  <c r="H35" i="3"/>
  <c r="C35"/>
  <c r="D9" i="5"/>
  <c r="E9"/>
  <c r="F9"/>
  <c r="D11"/>
  <c r="E11"/>
  <c r="F11"/>
  <c r="I11"/>
  <c r="D12"/>
  <c r="E12"/>
  <c r="F12"/>
  <c r="D14"/>
  <c r="E14"/>
  <c r="I14" s="1"/>
  <c r="F14"/>
  <c r="D16"/>
  <c r="E16"/>
  <c r="F16"/>
  <c r="D18"/>
  <c r="E18"/>
  <c r="F18"/>
  <c r="D20"/>
  <c r="E20"/>
  <c r="F20"/>
  <c r="H20"/>
  <c r="D29"/>
  <c r="E29"/>
  <c r="F29"/>
  <c r="D31"/>
  <c r="E31"/>
  <c r="F31"/>
  <c r="F32"/>
  <c r="I32"/>
  <c r="D34"/>
  <c r="E34"/>
  <c r="F34"/>
  <c r="D36"/>
  <c r="E36"/>
  <c r="F36"/>
  <c r="I36"/>
  <c r="D38"/>
  <c r="E38"/>
  <c r="F38"/>
  <c r="D40"/>
  <c r="E40"/>
  <c r="F40"/>
  <c r="H40"/>
  <c r="I40" s="1"/>
  <c r="D9" i="4"/>
  <c r="E9"/>
  <c r="F9"/>
  <c r="D11"/>
  <c r="E11"/>
  <c r="F11"/>
  <c r="D12"/>
  <c r="E12"/>
  <c r="F12"/>
  <c r="D14"/>
  <c r="E14"/>
  <c r="F14"/>
  <c r="D16"/>
  <c r="E16"/>
  <c r="F16"/>
  <c r="D18"/>
  <c r="E18"/>
  <c r="F18"/>
  <c r="I18"/>
  <c r="C20"/>
  <c r="D20"/>
  <c r="F20"/>
  <c r="D29"/>
  <c r="E29"/>
  <c r="F29"/>
  <c r="D31"/>
  <c r="E31"/>
  <c r="F31"/>
  <c r="F32"/>
  <c r="I32" s="1"/>
  <c r="D34"/>
  <c r="E34"/>
  <c r="I34" s="1"/>
  <c r="F34"/>
  <c r="D36"/>
  <c r="E36"/>
  <c r="E40" s="1"/>
  <c r="F36"/>
  <c r="D38"/>
  <c r="D40" s="1"/>
  <c r="E38"/>
  <c r="F38"/>
  <c r="F40" s="1"/>
  <c r="I38"/>
  <c r="H40"/>
  <c r="I31" i="5" l="1"/>
  <c r="H20" i="4"/>
  <c r="I14"/>
  <c r="I12"/>
  <c r="I9"/>
  <c r="I11"/>
  <c r="I16"/>
  <c r="I36"/>
  <c r="I31"/>
  <c r="I29"/>
  <c r="I20" i="5"/>
  <c r="I18"/>
  <c r="I9"/>
  <c r="I12"/>
  <c r="I16"/>
  <c r="I29"/>
  <c r="I38"/>
  <c r="I34"/>
  <c r="E20" i="4"/>
  <c r="I40" l="1"/>
  <c r="I20"/>
  <c r="J13" i="3" l="1"/>
  <c r="H17" s="1"/>
  <c r="J12"/>
  <c r="H15" s="1"/>
  <c r="E13"/>
  <c r="C17" s="1"/>
  <c r="E12"/>
  <c r="C15" s="1"/>
  <c r="H18" l="1"/>
  <c r="H29" s="1"/>
  <c r="H19"/>
  <c r="H30" s="1"/>
  <c r="C18"/>
  <c r="C29" s="1"/>
  <c r="C19"/>
  <c r="C30" s="1"/>
  <c r="C25"/>
  <c r="C26"/>
  <c r="H25"/>
  <c r="H26"/>
</calcChain>
</file>

<file path=xl/sharedStrings.xml><?xml version="1.0" encoding="utf-8"?>
<sst xmlns="http://schemas.openxmlformats.org/spreadsheetml/2006/main" count="149" uniqueCount="76">
  <si>
    <t>Black Hills</t>
  </si>
  <si>
    <t>PSCo</t>
  </si>
  <si>
    <t>PRPA</t>
  </si>
  <si>
    <t>MW</t>
  </si>
  <si>
    <t>Energy</t>
  </si>
  <si>
    <t>Tri-State</t>
  </si>
  <si>
    <t>30% Energy</t>
  </si>
  <si>
    <t>Total</t>
  </si>
  <si>
    <t xml:space="preserve">Fraction </t>
  </si>
  <si>
    <t>Forecast</t>
  </si>
  <si>
    <t>Generation</t>
  </si>
  <si>
    <t>IREA</t>
  </si>
  <si>
    <t>Fraction</t>
  </si>
  <si>
    <t>MWh</t>
  </si>
  <si>
    <t>Wind Gen = 2/3 *30% of Energy</t>
  </si>
  <si>
    <t>Solar Gen = 1/3 *30% of Energy</t>
  </si>
  <si>
    <t>Base</t>
  </si>
  <si>
    <t>Wind Gen Demand at 37% load factor</t>
  </si>
  <si>
    <t>Solar Gen Demand</t>
  </si>
  <si>
    <t>Photo voltaic is 25% of total, 30% load factor</t>
  </si>
  <si>
    <t>With Storage is 75% of total, 50% load factor</t>
  </si>
  <si>
    <t>Year 2030</t>
  </si>
  <si>
    <t xml:space="preserve">Name Plate Calculations for </t>
  </si>
  <si>
    <t>Wind Gen and Solar Gen</t>
  </si>
  <si>
    <t xml:space="preserve">On- peak and off-Peak Calculations </t>
  </si>
  <si>
    <t>for Wind Gen and Solar Gen</t>
  </si>
  <si>
    <t>Wind generation 20% on-peak</t>
  </si>
  <si>
    <t>Wind generation 80% off-peak</t>
  </si>
  <si>
    <t>Solar generation</t>
  </si>
  <si>
    <t>Photovoltaic 65% on-peak</t>
  </si>
  <si>
    <t>With storage 95% on-peak</t>
  </si>
  <si>
    <t>With storage 0% off-peak</t>
  </si>
  <si>
    <t>Photovoltaic 0% off-peak</t>
  </si>
  <si>
    <t xml:space="preserve">Demand and Energy </t>
  </si>
  <si>
    <t>State of Colorado</t>
  </si>
  <si>
    <t>Conventional Gen Required</t>
  </si>
  <si>
    <t xml:space="preserve">T-S </t>
  </si>
  <si>
    <t>CSU</t>
  </si>
  <si>
    <t xml:space="preserve"> of need</t>
  </si>
  <si>
    <t xml:space="preserve">Utility </t>
  </si>
  <si>
    <t>Inc. Generation for 2030</t>
  </si>
  <si>
    <t>Gc</t>
  </si>
  <si>
    <t xml:space="preserve">Gw </t>
  </si>
  <si>
    <t>Gs(CS)</t>
  </si>
  <si>
    <t>Gs(PV)</t>
  </si>
  <si>
    <t>Heavy Summer</t>
  </si>
  <si>
    <t>Base Case Forecast</t>
  </si>
  <si>
    <t>Totals</t>
  </si>
  <si>
    <t>of need</t>
  </si>
  <si>
    <t>3% forecast</t>
  </si>
  <si>
    <t xml:space="preserve">Change </t>
  </si>
  <si>
    <t>From 2012</t>
  </si>
  <si>
    <t>Demand</t>
  </si>
  <si>
    <t>of Need</t>
  </si>
  <si>
    <t xml:space="preserve">Allocation of </t>
  </si>
  <si>
    <t>Convectional</t>
  </si>
  <si>
    <t>Pawnee-40%</t>
  </si>
  <si>
    <t>Ft. St. Vrain-40%</t>
  </si>
  <si>
    <t>RMEC-10%</t>
  </si>
  <si>
    <t>Spruce-10%</t>
  </si>
  <si>
    <t>ERZ 5-100%</t>
  </si>
  <si>
    <t>Colo Spgs Utilities</t>
  </si>
  <si>
    <t>Nixon-100%</t>
  </si>
  <si>
    <t>Platte River</t>
  </si>
  <si>
    <t>Rawhide-100%</t>
  </si>
  <si>
    <t>Lamar-100%</t>
  </si>
  <si>
    <t>Table 4</t>
  </si>
  <si>
    <t>Table 5</t>
  </si>
  <si>
    <t>Table 6</t>
  </si>
  <si>
    <t>Table 7</t>
  </si>
  <si>
    <t>including 16% reserves</t>
  </si>
  <si>
    <t>Off-peak -</t>
  </si>
  <si>
    <t>50% of Heavy Summer</t>
  </si>
  <si>
    <t>Off peak -</t>
  </si>
  <si>
    <t>IGD 03/21/2011</t>
  </si>
  <si>
    <t>IGD 3/21/2011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</si>
</sst>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tabSelected="1" workbookViewId="0">
      <selection activeCell="A38" sqref="A38"/>
    </sheetView>
  </sheetViews>
  <sheetFormatPr defaultRowHeight="15"/>
  <cols>
    <col min="1" max="1" width="40.7109375" bestFit="1" customWidth="1"/>
    <col min="3" max="4" width="9.140625" style="3"/>
    <col min="5" max="5" width="11" style="3" bestFit="1" customWidth="1"/>
    <col min="6" max="6" width="11" style="3" customWidth="1"/>
    <col min="7" max="9" width="9.140625" style="3"/>
    <col min="10" max="10" width="11" style="3" bestFit="1" customWidth="1"/>
  </cols>
  <sheetData>
    <row r="1" spans="1:11" ht="18.75">
      <c r="A1" s="12" t="s">
        <v>21</v>
      </c>
    </row>
    <row r="2" spans="1:11" ht="18.75">
      <c r="A2" s="12" t="s">
        <v>34</v>
      </c>
      <c r="D2" s="7" t="s">
        <v>16</v>
      </c>
      <c r="I2" s="13">
        <v>0.03</v>
      </c>
    </row>
    <row r="3" spans="1:11">
      <c r="D3" s="4"/>
    </row>
    <row r="4" spans="1:11">
      <c r="F4" s="4" t="s">
        <v>50</v>
      </c>
      <c r="K4" s="1" t="s">
        <v>50</v>
      </c>
    </row>
    <row r="5" spans="1:11" ht="18.75">
      <c r="A5" s="12" t="s">
        <v>33</v>
      </c>
      <c r="C5" s="4"/>
      <c r="D5" s="4" t="s">
        <v>4</v>
      </c>
      <c r="E5" s="4" t="s">
        <v>6</v>
      </c>
      <c r="F5" s="4" t="s">
        <v>51</v>
      </c>
      <c r="H5" s="4"/>
      <c r="I5" s="4" t="s">
        <v>4</v>
      </c>
      <c r="J5" s="4" t="s">
        <v>6</v>
      </c>
      <c r="K5" s="4" t="s">
        <v>51</v>
      </c>
    </row>
    <row r="6" spans="1:11" ht="18.75">
      <c r="A6" s="12" t="s">
        <v>9</v>
      </c>
      <c r="C6" s="4" t="s">
        <v>3</v>
      </c>
      <c r="D6" s="4" t="s">
        <v>13</v>
      </c>
      <c r="E6" s="4" t="s">
        <v>13</v>
      </c>
      <c r="F6" s="4" t="s">
        <v>3</v>
      </c>
      <c r="H6" s="4" t="s">
        <v>3</v>
      </c>
      <c r="I6" s="4" t="s">
        <v>13</v>
      </c>
      <c r="J6" s="4" t="s">
        <v>13</v>
      </c>
      <c r="K6" s="4" t="s">
        <v>3</v>
      </c>
    </row>
    <row r="8" spans="1:11">
      <c r="C8" s="6">
        <v>13139</v>
      </c>
      <c r="D8" s="6">
        <v>72726000</v>
      </c>
      <c r="E8" s="6">
        <v>21818000</v>
      </c>
      <c r="F8" s="6">
        <v>2926</v>
      </c>
      <c r="H8" s="6">
        <v>17478</v>
      </c>
      <c r="I8" s="6">
        <v>96799000</v>
      </c>
      <c r="J8" s="6">
        <v>29040000</v>
      </c>
      <c r="K8" s="6">
        <v>7108</v>
      </c>
    </row>
    <row r="9" spans="1:11" s="2" customFormat="1">
      <c r="C9" s="6"/>
      <c r="D9" s="6"/>
      <c r="E9" s="6"/>
      <c r="F9" s="6"/>
      <c r="G9" s="3"/>
      <c r="H9" s="6"/>
      <c r="I9" s="6"/>
      <c r="J9" s="6"/>
    </row>
    <row r="10" spans="1:11" s="2" customFormat="1" ht="18.75">
      <c r="A10" s="12" t="s">
        <v>22</v>
      </c>
      <c r="C10" s="6"/>
      <c r="D10" s="6"/>
      <c r="E10" s="6"/>
      <c r="F10" s="6"/>
      <c r="G10" s="3"/>
      <c r="H10" s="6"/>
      <c r="I10" s="6"/>
      <c r="J10" s="6"/>
    </row>
    <row r="11" spans="1:11" ht="18.75">
      <c r="A11" s="12" t="s">
        <v>23</v>
      </c>
    </row>
    <row r="12" spans="1:11">
      <c r="A12" s="2" t="s">
        <v>14</v>
      </c>
      <c r="E12" s="6">
        <f>2/3*E8</f>
        <v>14545333.333333332</v>
      </c>
      <c r="F12" s="6"/>
      <c r="J12" s="6">
        <f>2/3*J8</f>
        <v>19360000</v>
      </c>
    </row>
    <row r="13" spans="1:11">
      <c r="A13" s="2" t="s">
        <v>15</v>
      </c>
      <c r="B13" s="2"/>
      <c r="E13" s="6">
        <f>1/3*E8</f>
        <v>7272666.666666666</v>
      </c>
      <c r="F13" s="6"/>
      <c r="J13" s="6">
        <f>1/3*J8</f>
        <v>9680000</v>
      </c>
    </row>
    <row r="15" spans="1:11">
      <c r="A15" s="2" t="s">
        <v>17</v>
      </c>
      <c r="C15" s="6">
        <f>E12/(0.37*8760)</f>
        <v>4487.6383232547614</v>
      </c>
      <c r="H15" s="6">
        <f>J12/(0.37*8760)</f>
        <v>5973.0963840552886</v>
      </c>
    </row>
    <row r="17" spans="1:8">
      <c r="A17" s="2" t="s">
        <v>18</v>
      </c>
      <c r="C17" s="6">
        <f>E13/(0.45*8760)</f>
        <v>1844.9179773380686</v>
      </c>
      <c r="H17" s="6">
        <f>J13/(0.45*8760)</f>
        <v>2455.6062912227294</v>
      </c>
    </row>
    <row r="18" spans="1:8">
      <c r="A18" s="2" t="s">
        <v>19</v>
      </c>
      <c r="C18" s="6">
        <f>C17*0.25</f>
        <v>461.22949433451714</v>
      </c>
      <c r="H18" s="6">
        <f>0.25*H17</f>
        <v>613.90157280568235</v>
      </c>
    </row>
    <row r="19" spans="1:8">
      <c r="A19" s="2" t="s">
        <v>20</v>
      </c>
      <c r="C19" s="6">
        <f>C17*0.75</f>
        <v>1383.6884830035515</v>
      </c>
      <c r="H19" s="6">
        <f>0.75*H17</f>
        <v>1841.7047184170469</v>
      </c>
    </row>
    <row r="22" spans="1:8" ht="18.75">
      <c r="A22" s="12" t="s">
        <v>24</v>
      </c>
    </row>
    <row r="23" spans="1:8" ht="18.75">
      <c r="A23" s="12" t="s">
        <v>25</v>
      </c>
    </row>
    <row r="25" spans="1:8">
      <c r="A25" s="2" t="s">
        <v>26</v>
      </c>
      <c r="C25" s="6">
        <f>0.2*C15</f>
        <v>897.52766465095237</v>
      </c>
      <c r="H25" s="6">
        <f>0.2*H15</f>
        <v>1194.6192768110577</v>
      </c>
    </row>
    <row r="26" spans="1:8">
      <c r="A26" s="2" t="s">
        <v>27</v>
      </c>
      <c r="C26" s="6">
        <f>0.8*C15</f>
        <v>3590.1106586038095</v>
      </c>
      <c r="H26" s="6">
        <f>0.8*H15</f>
        <v>4778.4771072442309</v>
      </c>
    </row>
    <row r="28" spans="1:8">
      <c r="A28" s="2" t="s">
        <v>28</v>
      </c>
    </row>
    <row r="29" spans="1:8">
      <c r="A29" s="2" t="s">
        <v>29</v>
      </c>
      <c r="C29" s="6">
        <f>0.65*C18</f>
        <v>299.79917131743616</v>
      </c>
      <c r="H29" s="6">
        <f>0.65*H18</f>
        <v>399.03602232369354</v>
      </c>
    </row>
    <row r="30" spans="1:8">
      <c r="A30" s="2" t="s">
        <v>30</v>
      </c>
      <c r="C30" s="6">
        <f>0.95*C19</f>
        <v>1314.5040588533739</v>
      </c>
      <c r="H30" s="6">
        <f>0.95*H19</f>
        <v>1749.6194824961945</v>
      </c>
    </row>
    <row r="32" spans="1:8">
      <c r="A32" s="2" t="s">
        <v>32</v>
      </c>
      <c r="C32" s="3">
        <v>0</v>
      </c>
      <c r="H32" s="3">
        <v>0</v>
      </c>
    </row>
    <row r="33" spans="1:8">
      <c r="A33" s="2" t="s">
        <v>31</v>
      </c>
      <c r="C33" s="3">
        <v>0</v>
      </c>
      <c r="H33" s="3">
        <v>0</v>
      </c>
    </row>
    <row r="35" spans="1:8" ht="18.75">
      <c r="A35" s="12" t="s">
        <v>35</v>
      </c>
      <c r="C35" s="6">
        <f>F8*1.16-C29-C30-C25</f>
        <v>882.32910517823757</v>
      </c>
      <c r="H35" s="6">
        <f>K8*1.16-H25-H29-H30</f>
        <v>4902.0052183690532</v>
      </c>
    </row>
    <row r="36" spans="1:8">
      <c r="A36" s="2" t="s">
        <v>70</v>
      </c>
    </row>
    <row r="38" spans="1:8" ht="21">
      <c r="A38" s="2" t="s">
        <v>74</v>
      </c>
      <c r="E38" s="17" t="s">
        <v>66</v>
      </c>
    </row>
  </sheetData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activeCell="A44" sqref="A44"/>
    </sheetView>
  </sheetViews>
  <sheetFormatPr defaultRowHeight="15"/>
  <cols>
    <col min="1" max="1" width="23.28515625" bestFit="1" customWidth="1"/>
  </cols>
  <sheetData>
    <row r="1" spans="1:9" ht="18.75">
      <c r="A1" s="12" t="s">
        <v>46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1" t="s">
        <v>45</v>
      </c>
      <c r="B3" s="2"/>
      <c r="C3" s="2"/>
      <c r="G3" s="4"/>
    </row>
    <row r="4" spans="1:9">
      <c r="A4" s="1" t="s">
        <v>40</v>
      </c>
      <c r="B4" s="2"/>
      <c r="C4" s="2"/>
      <c r="G4" s="3"/>
      <c r="I4" s="3"/>
    </row>
    <row r="5" spans="1:9">
      <c r="A5" s="2"/>
      <c r="B5" s="2"/>
      <c r="C5" s="1" t="s">
        <v>4</v>
      </c>
      <c r="D5" s="3"/>
      <c r="E5" s="3"/>
      <c r="F5" s="3"/>
      <c r="G5" s="4" t="s">
        <v>52</v>
      </c>
      <c r="H5" s="3"/>
      <c r="I5" s="3"/>
    </row>
    <row r="6" spans="1:9">
      <c r="A6" s="1"/>
      <c r="B6" s="2"/>
      <c r="C6" s="1" t="s">
        <v>12</v>
      </c>
      <c r="D6" s="4" t="s">
        <v>44</v>
      </c>
      <c r="E6" s="4" t="s">
        <v>43</v>
      </c>
      <c r="F6" s="4" t="s">
        <v>42</v>
      </c>
      <c r="G6" s="4" t="s">
        <v>8</v>
      </c>
      <c r="H6" s="4" t="s">
        <v>41</v>
      </c>
      <c r="I6" s="4" t="s">
        <v>7</v>
      </c>
    </row>
    <row r="7" spans="1:9">
      <c r="A7" s="1" t="s">
        <v>39</v>
      </c>
      <c r="B7" s="2"/>
      <c r="C7" s="1" t="s">
        <v>38</v>
      </c>
      <c r="D7" s="3">
        <v>300</v>
      </c>
      <c r="E7" s="3">
        <v>1315</v>
      </c>
      <c r="F7" s="3">
        <v>898</v>
      </c>
      <c r="G7" s="4" t="s">
        <v>53</v>
      </c>
      <c r="H7" s="3">
        <v>882</v>
      </c>
      <c r="I7" s="3"/>
    </row>
    <row r="8" spans="1:9">
      <c r="A8" s="2"/>
      <c r="B8" s="2"/>
      <c r="C8" s="2"/>
      <c r="D8" s="3"/>
      <c r="E8" s="3"/>
      <c r="F8" s="3"/>
      <c r="G8" s="3"/>
      <c r="H8" s="3"/>
      <c r="I8" s="3"/>
    </row>
    <row r="9" spans="1:9">
      <c r="A9" s="2" t="s">
        <v>0</v>
      </c>
      <c r="B9" s="2"/>
      <c r="C9" s="5">
        <v>4.5999999999999999E-2</v>
      </c>
      <c r="D9" s="6">
        <f>D7*C9</f>
        <v>13.799999999999999</v>
      </c>
      <c r="E9" s="6">
        <f>E7*C9</f>
        <v>60.49</v>
      </c>
      <c r="F9" s="6">
        <f>F7*C9</f>
        <v>41.308</v>
      </c>
      <c r="G9" s="15">
        <v>6.3200000000000006E-2</v>
      </c>
      <c r="H9" s="6">
        <f>H7*G9</f>
        <v>55.742400000000004</v>
      </c>
      <c r="I9" s="6">
        <f>SUM(D9:H9)</f>
        <v>171.40360000000001</v>
      </c>
    </row>
    <row r="10" spans="1:9">
      <c r="A10" s="2"/>
      <c r="B10" s="2"/>
      <c r="C10" s="6"/>
      <c r="D10" s="6"/>
      <c r="E10" s="6"/>
      <c r="F10" s="6"/>
      <c r="G10" s="3"/>
      <c r="H10" s="6"/>
      <c r="I10" s="3"/>
    </row>
    <row r="11" spans="1:9">
      <c r="A11" s="2" t="s">
        <v>1</v>
      </c>
      <c r="B11" s="2"/>
      <c r="C11" s="5">
        <v>0.59799999999999998</v>
      </c>
      <c r="D11" s="6">
        <f>D7*C11</f>
        <v>179.4</v>
      </c>
      <c r="E11" s="6">
        <f>E7*C11</f>
        <v>786.37</v>
      </c>
      <c r="F11" s="6">
        <f>F7*C11</f>
        <v>537.00400000000002</v>
      </c>
      <c r="G11" s="3">
        <v>0.51270000000000004</v>
      </c>
      <c r="H11" s="6">
        <f>H7*G11</f>
        <v>452.20140000000004</v>
      </c>
      <c r="I11" s="6">
        <f>SUM(D11:H11)</f>
        <v>1955.4881</v>
      </c>
    </row>
    <row r="12" spans="1:9">
      <c r="A12" s="9" t="s">
        <v>11</v>
      </c>
      <c r="B12" s="2"/>
      <c r="C12" s="5">
        <v>1.7000000000000001E-2</v>
      </c>
      <c r="D12" s="6">
        <f>D7*C12</f>
        <v>5.1000000000000005</v>
      </c>
      <c r="E12" s="6">
        <f>E7*C12</f>
        <v>22.355</v>
      </c>
      <c r="F12" s="6">
        <f>F7*C12</f>
        <v>15.266000000000002</v>
      </c>
      <c r="G12" s="3"/>
      <c r="H12" s="6">
        <f>H7*G12</f>
        <v>0</v>
      </c>
      <c r="I12" s="6">
        <f>SUM(D12:H12)</f>
        <v>42.721000000000004</v>
      </c>
    </row>
    <row r="13" spans="1:9">
      <c r="A13" s="2"/>
      <c r="B13" s="2"/>
      <c r="C13" s="6"/>
      <c r="D13" s="6"/>
      <c r="E13" s="6"/>
      <c r="F13" s="6"/>
      <c r="G13" s="3"/>
      <c r="H13" s="6"/>
      <c r="I13" s="3"/>
    </row>
    <row r="14" spans="1:9">
      <c r="A14" s="2" t="s">
        <v>37</v>
      </c>
      <c r="B14" s="2"/>
      <c r="C14" s="11">
        <v>0.08</v>
      </c>
      <c r="D14" s="6">
        <f>D7*C14</f>
        <v>24</v>
      </c>
      <c r="E14" s="6">
        <f>E7*C14</f>
        <v>105.2</v>
      </c>
      <c r="F14" s="6">
        <f>F7*C14</f>
        <v>71.84</v>
      </c>
      <c r="G14" s="3">
        <v>8.1500000000000003E-2</v>
      </c>
      <c r="H14" s="6">
        <f>H7*G14</f>
        <v>71.882999999999996</v>
      </c>
      <c r="I14" s="6">
        <f>SUM(D14:H14)</f>
        <v>273.00450000000001</v>
      </c>
    </row>
    <row r="15" spans="1:9">
      <c r="A15" s="2"/>
      <c r="B15" s="2"/>
      <c r="C15" s="6"/>
      <c r="D15" s="6"/>
      <c r="E15" s="6"/>
      <c r="F15" s="6"/>
      <c r="G15" s="3"/>
      <c r="H15" s="6"/>
      <c r="I15" s="3"/>
    </row>
    <row r="16" spans="1:9">
      <c r="A16" s="2" t="s">
        <v>2</v>
      </c>
      <c r="B16" s="2"/>
      <c r="C16" s="5">
        <v>6.3E-2</v>
      </c>
      <c r="D16" s="6">
        <f>D7*C16</f>
        <v>18.899999999999999</v>
      </c>
      <c r="E16" s="6">
        <f>E7*C16</f>
        <v>82.844999999999999</v>
      </c>
      <c r="F16" s="6">
        <f>F7*C16</f>
        <v>56.573999999999998</v>
      </c>
      <c r="G16" s="3">
        <v>0.1053</v>
      </c>
      <c r="H16" s="6">
        <f>H7*G16</f>
        <v>92.874600000000001</v>
      </c>
      <c r="I16" s="6">
        <f>SUM(D16:H16)</f>
        <v>251.2989</v>
      </c>
    </row>
    <row r="17" spans="1:9">
      <c r="A17" s="2"/>
      <c r="B17" s="2"/>
      <c r="C17" s="11"/>
      <c r="D17" s="6"/>
      <c r="E17" s="6"/>
      <c r="F17" s="6"/>
      <c r="G17" s="3"/>
      <c r="H17" s="6"/>
      <c r="I17" s="3"/>
    </row>
    <row r="18" spans="1:9">
      <c r="A18" s="2" t="s">
        <v>36</v>
      </c>
      <c r="B18" s="2"/>
      <c r="C18" s="5">
        <v>0.19600000000000001</v>
      </c>
      <c r="D18" s="6">
        <f>D7*C18</f>
        <v>58.800000000000004</v>
      </c>
      <c r="E18" s="6">
        <f>E7*C18</f>
        <v>257.74</v>
      </c>
      <c r="F18" s="6">
        <f>F7*C18</f>
        <v>176.00800000000001</v>
      </c>
      <c r="G18" s="3">
        <v>0.23730000000000001</v>
      </c>
      <c r="H18" s="6">
        <f>H7*G18</f>
        <v>209.29860000000002</v>
      </c>
      <c r="I18" s="6">
        <f>SUM(D18:H18)</f>
        <v>702.08390000000009</v>
      </c>
    </row>
    <row r="19" spans="1:9">
      <c r="A19" s="2"/>
      <c r="B19" s="2"/>
      <c r="C19" s="2"/>
      <c r="D19" s="3"/>
      <c r="E19" s="3"/>
      <c r="F19" s="3"/>
      <c r="G19" s="3"/>
      <c r="H19" s="3"/>
      <c r="I19" s="3"/>
    </row>
    <row r="20" spans="1:9">
      <c r="A20" s="2"/>
      <c r="B20" s="2" t="s">
        <v>7</v>
      </c>
      <c r="C20" s="14">
        <f>SUM(C9:C19)</f>
        <v>1</v>
      </c>
      <c r="D20" s="6">
        <f>SUM(D9:D18)</f>
        <v>300</v>
      </c>
      <c r="E20" s="6">
        <f>SUM(E9:E18)</f>
        <v>1315</v>
      </c>
      <c r="F20" s="6">
        <f>SUM(F9:F19)</f>
        <v>898</v>
      </c>
      <c r="G20" s="3"/>
      <c r="H20" s="6">
        <f>SUM(H9:H19)</f>
        <v>882</v>
      </c>
      <c r="I20" s="6">
        <f>SUM(I9:I18)</f>
        <v>3396.0000000000005</v>
      </c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1" t="s">
        <v>71</v>
      </c>
      <c r="B22" s="2"/>
      <c r="C22" s="2"/>
      <c r="D22" s="2"/>
      <c r="E22" s="2"/>
      <c r="F22" s="2"/>
      <c r="G22" s="2"/>
      <c r="H22" s="2"/>
      <c r="I22" s="2"/>
    </row>
    <row r="23" spans="1:9">
      <c r="A23" s="1" t="s">
        <v>72</v>
      </c>
      <c r="B23" s="2"/>
      <c r="C23" s="2"/>
      <c r="G23" s="4"/>
    </row>
    <row r="24" spans="1:9">
      <c r="A24" s="1" t="s">
        <v>40</v>
      </c>
      <c r="B24" s="2"/>
      <c r="C24" s="2"/>
      <c r="G24" s="3"/>
      <c r="I24" s="3"/>
    </row>
    <row r="25" spans="1:9">
      <c r="A25" s="2"/>
      <c r="B25" s="2"/>
      <c r="C25" s="2"/>
      <c r="D25" s="3"/>
      <c r="E25" s="3"/>
      <c r="F25" s="3"/>
      <c r="G25" s="3"/>
      <c r="H25" s="3"/>
      <c r="I25" s="3"/>
    </row>
    <row r="26" spans="1:9">
      <c r="A26" s="1"/>
      <c r="B26" s="2"/>
      <c r="C26" s="1" t="s">
        <v>12</v>
      </c>
      <c r="D26" s="4" t="s">
        <v>44</v>
      </c>
      <c r="E26" s="4" t="s">
        <v>43</v>
      </c>
      <c r="F26" s="4" t="s">
        <v>42</v>
      </c>
      <c r="G26" s="3"/>
      <c r="H26" s="4" t="s">
        <v>41</v>
      </c>
      <c r="I26" s="4" t="s">
        <v>7</v>
      </c>
    </row>
    <row r="27" spans="1:9">
      <c r="A27" s="1" t="s">
        <v>39</v>
      </c>
      <c r="B27" s="2"/>
      <c r="C27" s="1" t="s">
        <v>38</v>
      </c>
      <c r="D27" s="3">
        <v>0</v>
      </c>
      <c r="E27" s="3">
        <v>0</v>
      </c>
      <c r="F27" s="3">
        <v>3590</v>
      </c>
      <c r="G27" s="3"/>
      <c r="H27" s="3">
        <v>882</v>
      </c>
      <c r="I27" s="3"/>
    </row>
    <row r="28" spans="1:9">
      <c r="A28" s="2"/>
      <c r="B28" s="2"/>
      <c r="C28" s="2"/>
      <c r="D28" s="3"/>
      <c r="E28" s="3"/>
      <c r="F28" s="3"/>
      <c r="G28" s="3"/>
      <c r="H28" s="3"/>
      <c r="I28" s="3"/>
    </row>
    <row r="29" spans="1:9">
      <c r="A29" s="2" t="s">
        <v>0</v>
      </c>
      <c r="B29" s="2"/>
      <c r="C29" s="5">
        <v>4.5999999999999999E-2</v>
      </c>
      <c r="D29" s="3">
        <f>D27*C29</f>
        <v>0</v>
      </c>
      <c r="E29" s="6">
        <f>E27*C29</f>
        <v>0</v>
      </c>
      <c r="F29" s="6">
        <f>F27*C29</f>
        <v>165.14</v>
      </c>
      <c r="G29" s="6"/>
      <c r="H29" s="6">
        <f>H9</f>
        <v>55.742400000000004</v>
      </c>
      <c r="I29" s="6">
        <f>SUM(D29:H29)</f>
        <v>220.88239999999999</v>
      </c>
    </row>
    <row r="30" spans="1:9">
      <c r="A30" s="2"/>
      <c r="B30" s="2"/>
      <c r="C30" s="6"/>
      <c r="D30" s="3"/>
      <c r="E30" s="6"/>
      <c r="F30" s="6"/>
      <c r="G30" s="3"/>
      <c r="H30" s="6"/>
      <c r="I30" s="3"/>
    </row>
    <row r="31" spans="1:9">
      <c r="A31" s="2" t="s">
        <v>1</v>
      </c>
      <c r="B31" s="2"/>
      <c r="C31" s="5">
        <v>0.59799999999999998</v>
      </c>
      <c r="D31" s="6">
        <f>D27*C31</f>
        <v>0</v>
      </c>
      <c r="E31" s="6">
        <f>E27*C31</f>
        <v>0</v>
      </c>
      <c r="F31" s="6">
        <f>F27*C31</f>
        <v>2146.8199999999997</v>
      </c>
      <c r="G31" s="3"/>
      <c r="H31" s="6">
        <f t="shared" ref="H31:H38" si="0">H11</f>
        <v>452.20140000000004</v>
      </c>
      <c r="I31" s="6">
        <f>SUM(D31:H31)</f>
        <v>2599.0213999999996</v>
      </c>
    </row>
    <row r="32" spans="1:9">
      <c r="A32" s="9" t="s">
        <v>11</v>
      </c>
      <c r="B32" s="2"/>
      <c r="C32" s="5">
        <v>1.7000000000000001E-2</v>
      </c>
      <c r="D32" s="3"/>
      <c r="E32" s="6"/>
      <c r="F32" s="6">
        <f>F27*C32</f>
        <v>61.03</v>
      </c>
      <c r="G32" s="3"/>
      <c r="H32" s="6"/>
      <c r="I32" s="6">
        <f>SUM(D32:H32)</f>
        <v>61.03</v>
      </c>
    </row>
    <row r="33" spans="1:9">
      <c r="A33" s="2"/>
      <c r="B33" s="2"/>
      <c r="C33" s="6"/>
      <c r="D33" s="3"/>
      <c r="E33" s="6"/>
      <c r="F33" s="6"/>
      <c r="G33" s="3"/>
      <c r="H33" s="6"/>
      <c r="I33" s="3"/>
    </row>
    <row r="34" spans="1:9">
      <c r="A34" s="2" t="s">
        <v>37</v>
      </c>
      <c r="B34" s="2"/>
      <c r="C34" s="11">
        <v>0.08</v>
      </c>
      <c r="D34" s="3">
        <f>D27*C34</f>
        <v>0</v>
      </c>
      <c r="E34" s="6">
        <f>E27*C34</f>
        <v>0</v>
      </c>
      <c r="F34" s="6">
        <f>F27*C34</f>
        <v>287.2</v>
      </c>
      <c r="G34" s="3"/>
      <c r="H34" s="6">
        <f t="shared" si="0"/>
        <v>71.882999999999996</v>
      </c>
      <c r="I34" s="6">
        <f>SUM(D34:H34)</f>
        <v>359.08299999999997</v>
      </c>
    </row>
    <row r="35" spans="1:9">
      <c r="A35" s="2"/>
      <c r="B35" s="2"/>
      <c r="C35" s="6"/>
      <c r="D35" s="3"/>
      <c r="E35" s="6"/>
      <c r="F35" s="6"/>
      <c r="G35" s="3"/>
      <c r="H35" s="6"/>
      <c r="I35" s="3"/>
    </row>
    <row r="36" spans="1:9">
      <c r="A36" s="2" t="s">
        <v>2</v>
      </c>
      <c r="B36" s="2"/>
      <c r="C36" s="5">
        <v>6.3E-2</v>
      </c>
      <c r="D36" s="6">
        <f>D27*C36</f>
        <v>0</v>
      </c>
      <c r="E36" s="6">
        <f>E27*C36</f>
        <v>0</v>
      </c>
      <c r="F36" s="6">
        <f>F27*C36</f>
        <v>226.17</v>
      </c>
      <c r="G36" s="3"/>
      <c r="H36" s="6">
        <f t="shared" si="0"/>
        <v>92.874600000000001</v>
      </c>
      <c r="I36" s="6">
        <f>SUM(D36:H36)</f>
        <v>319.0446</v>
      </c>
    </row>
    <row r="37" spans="1:9">
      <c r="A37" s="2"/>
      <c r="B37" s="2"/>
      <c r="C37" s="11"/>
      <c r="D37" s="3"/>
      <c r="E37" s="6"/>
      <c r="F37" s="6"/>
      <c r="G37" s="3"/>
      <c r="H37" s="6"/>
      <c r="I37" s="3"/>
    </row>
    <row r="38" spans="1:9">
      <c r="A38" s="2" t="s">
        <v>36</v>
      </c>
      <c r="B38" s="2"/>
      <c r="C38" s="5">
        <v>0.19600000000000001</v>
      </c>
      <c r="D38" s="3">
        <f>D27*C38</f>
        <v>0</v>
      </c>
      <c r="E38" s="6">
        <f>E27*C38</f>
        <v>0</v>
      </c>
      <c r="F38" s="6">
        <f>F27*C38</f>
        <v>703.64</v>
      </c>
      <c r="G38" s="3"/>
      <c r="H38" s="6">
        <f t="shared" si="0"/>
        <v>209.29860000000002</v>
      </c>
      <c r="I38" s="6">
        <f>SUM(D38:H38)</f>
        <v>912.93859999999995</v>
      </c>
    </row>
    <row r="39" spans="1:9">
      <c r="A39" s="2"/>
      <c r="B39" s="2"/>
      <c r="C39" s="2"/>
      <c r="D39" s="3"/>
      <c r="E39" s="3"/>
      <c r="F39" s="3"/>
      <c r="G39" s="3"/>
      <c r="H39" s="3"/>
      <c r="I39" s="3"/>
    </row>
    <row r="40" spans="1:9">
      <c r="A40" s="2"/>
      <c r="B40" s="2" t="s">
        <v>7</v>
      </c>
      <c r="C40" s="14"/>
      <c r="D40" s="3">
        <f>SUM(D29:D38)</f>
        <v>0</v>
      </c>
      <c r="E40" s="6">
        <f>SUM(E29:E38)</f>
        <v>0</v>
      </c>
      <c r="F40" s="6">
        <f>SUM(F29:F39)</f>
        <v>3589.9999999999995</v>
      </c>
      <c r="G40" s="3"/>
      <c r="H40" s="6">
        <f>SUM(H29:H39)</f>
        <v>882</v>
      </c>
      <c r="I40" s="6">
        <f>SUM(I29:I38)</f>
        <v>4472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 ht="18.75">
      <c r="A43" s="18" t="s">
        <v>75</v>
      </c>
      <c r="B43" s="2"/>
      <c r="C43" s="2"/>
      <c r="D43" s="2"/>
      <c r="E43" s="2"/>
      <c r="F43" s="2"/>
      <c r="G43" s="12" t="s">
        <v>67</v>
      </c>
      <c r="H43" s="2"/>
      <c r="I43" s="2"/>
    </row>
  </sheetData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opLeftCell="A23" workbookViewId="0">
      <selection activeCell="A43" sqref="A43"/>
    </sheetView>
  </sheetViews>
  <sheetFormatPr defaultRowHeight="15"/>
  <cols>
    <col min="1" max="1" width="22.5703125" bestFit="1" customWidth="1"/>
  </cols>
  <sheetData>
    <row r="1" spans="1:9" ht="18.75">
      <c r="A1" s="12" t="s">
        <v>49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1" t="s">
        <v>45</v>
      </c>
      <c r="B3" s="2"/>
      <c r="C3" s="2"/>
      <c r="G3" s="4"/>
    </row>
    <row r="4" spans="1:9">
      <c r="A4" s="1" t="s">
        <v>40</v>
      </c>
      <c r="B4" s="2"/>
      <c r="C4" s="2"/>
      <c r="G4" s="3"/>
      <c r="I4" s="3"/>
    </row>
    <row r="5" spans="1:9">
      <c r="A5" s="2"/>
      <c r="B5" s="2"/>
      <c r="C5" s="1" t="s">
        <v>4</v>
      </c>
      <c r="D5" s="2"/>
      <c r="E5" s="2"/>
      <c r="F5" s="3"/>
      <c r="G5" s="4" t="s">
        <v>52</v>
      </c>
      <c r="H5" s="3"/>
      <c r="I5" s="2"/>
    </row>
    <row r="6" spans="1:9">
      <c r="A6" s="2"/>
      <c r="B6" s="2"/>
      <c r="C6" s="1" t="s">
        <v>12</v>
      </c>
      <c r="D6" s="1" t="s">
        <v>44</v>
      </c>
      <c r="E6" s="1" t="s">
        <v>43</v>
      </c>
      <c r="F6" s="4" t="s">
        <v>42</v>
      </c>
      <c r="G6" s="4" t="s">
        <v>12</v>
      </c>
      <c r="H6" s="4" t="s">
        <v>41</v>
      </c>
      <c r="I6" s="4" t="s">
        <v>7</v>
      </c>
    </row>
    <row r="7" spans="1:9">
      <c r="A7" s="1" t="s">
        <v>39</v>
      </c>
      <c r="B7" s="2"/>
      <c r="C7" s="1" t="s">
        <v>48</v>
      </c>
      <c r="D7" s="3">
        <v>399</v>
      </c>
      <c r="E7" s="3">
        <v>1750</v>
      </c>
      <c r="F7" s="3">
        <v>1195</v>
      </c>
      <c r="G7" s="4" t="s">
        <v>53</v>
      </c>
      <c r="H7" s="3">
        <v>4903</v>
      </c>
      <c r="I7" s="2"/>
    </row>
    <row r="8" spans="1:9">
      <c r="A8" s="2"/>
      <c r="B8" s="2"/>
      <c r="C8" s="2"/>
      <c r="D8" s="2"/>
      <c r="E8" s="2"/>
      <c r="F8" s="3"/>
      <c r="G8" s="3"/>
      <c r="H8" s="3"/>
      <c r="I8" s="2"/>
    </row>
    <row r="9" spans="1:9">
      <c r="A9" s="2" t="s">
        <v>0</v>
      </c>
      <c r="B9" s="2"/>
      <c r="C9" s="14">
        <v>4.1000000000000002E-2</v>
      </c>
      <c r="D9" s="6">
        <f>D7*C9</f>
        <v>16.359000000000002</v>
      </c>
      <c r="E9" s="6">
        <f>E7*C9</f>
        <v>71.75</v>
      </c>
      <c r="F9" s="6">
        <f>F7*C9</f>
        <v>48.995000000000005</v>
      </c>
      <c r="G9" s="3">
        <v>4.0500000000000001E-2</v>
      </c>
      <c r="H9" s="6">
        <f>H7*G9</f>
        <v>198.57150000000001</v>
      </c>
      <c r="I9" s="10">
        <f>SUM(D9:H9)</f>
        <v>335.71600000000001</v>
      </c>
    </row>
    <row r="10" spans="1:9">
      <c r="A10" s="2"/>
      <c r="B10" s="2"/>
      <c r="C10" s="2"/>
      <c r="D10" s="6"/>
      <c r="E10" s="6"/>
      <c r="F10" s="6"/>
      <c r="G10" s="3"/>
      <c r="H10" s="6"/>
      <c r="I10" s="10"/>
    </row>
    <row r="11" spans="1:9">
      <c r="A11" s="2" t="s">
        <v>1</v>
      </c>
      <c r="B11" s="2"/>
      <c r="C11" s="14">
        <v>0.63</v>
      </c>
      <c r="D11" s="6">
        <f>D7*C11</f>
        <v>251.37</v>
      </c>
      <c r="E11" s="6">
        <f>E7*C11</f>
        <v>1102.5</v>
      </c>
      <c r="F11" s="6">
        <f>F7*C11</f>
        <v>752.85</v>
      </c>
      <c r="G11" s="3">
        <v>0.63880000000000003</v>
      </c>
      <c r="H11" s="6">
        <f>H7*G11</f>
        <v>3132.0364</v>
      </c>
      <c r="I11" s="10">
        <f>SUM(D11:H11)</f>
        <v>5239.3951999999999</v>
      </c>
    </row>
    <row r="12" spans="1:9">
      <c r="A12" s="9" t="s">
        <v>11</v>
      </c>
      <c r="B12" s="2"/>
      <c r="C12" s="2">
        <v>1.2999999999999999E-2</v>
      </c>
      <c r="D12" s="6">
        <f>D7*C12</f>
        <v>5.1869999999999994</v>
      </c>
      <c r="E12" s="6">
        <f>E7*C12</f>
        <v>22.75</v>
      </c>
      <c r="F12" s="6">
        <f>F7*C12</f>
        <v>15.535</v>
      </c>
      <c r="G12" s="3"/>
      <c r="H12" s="6">
        <f>H7*G12</f>
        <v>0</v>
      </c>
      <c r="I12" s="10">
        <f>SUM(D12:H12)</f>
        <v>43.471999999999994</v>
      </c>
    </row>
    <row r="13" spans="1:9">
      <c r="A13" s="2"/>
      <c r="B13" s="2"/>
      <c r="C13" s="2"/>
      <c r="D13" s="6"/>
      <c r="E13" s="6"/>
      <c r="F13" s="6"/>
      <c r="G13" s="3"/>
      <c r="H13" s="6"/>
      <c r="I13" s="10"/>
    </row>
    <row r="14" spans="1:9">
      <c r="A14" s="2" t="s">
        <v>37</v>
      </c>
      <c r="B14" s="2"/>
      <c r="C14" s="14">
        <v>8.1000000000000003E-2</v>
      </c>
      <c r="D14" s="6">
        <f>D7*C14</f>
        <v>32.319000000000003</v>
      </c>
      <c r="E14" s="6">
        <f>E7*C14</f>
        <v>141.75</v>
      </c>
      <c r="F14" s="6">
        <f>F7*C14</f>
        <v>96.795000000000002</v>
      </c>
      <c r="G14" s="3">
        <v>8.3699999999999997E-2</v>
      </c>
      <c r="H14" s="6">
        <f>H7*G14</f>
        <v>410.3811</v>
      </c>
      <c r="I14" s="10">
        <f>SUM(D14:H14)</f>
        <v>681.3288</v>
      </c>
    </row>
    <row r="15" spans="1:9">
      <c r="A15" s="2"/>
      <c r="B15" s="2"/>
      <c r="C15" s="2"/>
      <c r="D15" s="6"/>
      <c r="E15" s="6"/>
      <c r="F15" s="6"/>
      <c r="G15" s="3"/>
      <c r="H15" s="6"/>
      <c r="I15" s="10"/>
    </row>
    <row r="16" spans="1:9">
      <c r="A16" s="2" t="s">
        <v>2</v>
      </c>
      <c r="B16" s="2"/>
      <c r="C16" s="14">
        <v>5.5E-2</v>
      </c>
      <c r="D16" s="6">
        <f>D7*C16</f>
        <v>21.945</v>
      </c>
      <c r="E16" s="6">
        <f>E7*C16</f>
        <v>96.25</v>
      </c>
      <c r="F16" s="6">
        <f>F7*C16</f>
        <v>65.724999999999994</v>
      </c>
      <c r="G16" s="3">
        <v>6.6500000000000004E-2</v>
      </c>
      <c r="H16" s="6">
        <f>H7*G16</f>
        <v>326.04950000000002</v>
      </c>
      <c r="I16" s="10">
        <f>SUM(D16:H16)</f>
        <v>510.036</v>
      </c>
    </row>
    <row r="17" spans="1:9">
      <c r="A17" s="2"/>
      <c r="B17" s="2"/>
      <c r="C17" s="2"/>
      <c r="D17" s="6"/>
      <c r="E17" s="6"/>
      <c r="F17" s="6"/>
      <c r="G17" s="3"/>
      <c r="H17" s="6"/>
      <c r="I17" s="10"/>
    </row>
    <row r="18" spans="1:9">
      <c r="A18" s="2" t="s">
        <v>36</v>
      </c>
      <c r="B18" s="2"/>
      <c r="C18" s="14">
        <v>0.18</v>
      </c>
      <c r="D18" s="6">
        <f>D7*C18</f>
        <v>71.819999999999993</v>
      </c>
      <c r="E18" s="6">
        <f>E7*C18</f>
        <v>315</v>
      </c>
      <c r="F18" s="6">
        <f>F7*C18</f>
        <v>215.1</v>
      </c>
      <c r="G18" s="3">
        <v>0.17050000000000001</v>
      </c>
      <c r="H18" s="6">
        <f>H7*G18</f>
        <v>835.96150000000011</v>
      </c>
      <c r="I18" s="10">
        <f>SUM(D18:H18)</f>
        <v>1438.0520000000001</v>
      </c>
    </row>
    <row r="19" spans="1:9">
      <c r="A19" s="2"/>
      <c r="B19" s="2"/>
      <c r="C19" s="2"/>
      <c r="D19" s="2"/>
      <c r="E19" s="2"/>
      <c r="F19" s="3"/>
      <c r="G19" s="3"/>
      <c r="H19" s="3"/>
      <c r="I19" s="10"/>
    </row>
    <row r="20" spans="1:9">
      <c r="A20" s="2"/>
      <c r="B20" s="2" t="s">
        <v>47</v>
      </c>
      <c r="C20" s="2"/>
      <c r="D20" s="6">
        <f>SUM(D9:D18)</f>
        <v>399</v>
      </c>
      <c r="E20" s="6">
        <f>SUM(E9:E18)</f>
        <v>1750</v>
      </c>
      <c r="F20" s="6">
        <f>SUM(F9:F18)</f>
        <v>1195</v>
      </c>
      <c r="G20" s="6"/>
      <c r="H20" s="6">
        <f>SUM(H9:H18)</f>
        <v>4903</v>
      </c>
      <c r="I20" s="10">
        <f>SUM(D20:H20)</f>
        <v>8247</v>
      </c>
    </row>
    <row r="21" spans="1:9">
      <c r="A21" s="2"/>
      <c r="B21" s="2"/>
      <c r="C21" s="2"/>
      <c r="D21" s="6"/>
      <c r="E21" s="6"/>
      <c r="F21" s="6"/>
      <c r="G21" s="6"/>
      <c r="H21" s="6"/>
      <c r="I21" s="10"/>
    </row>
    <row r="22" spans="1:9">
      <c r="A22" s="1" t="s">
        <v>73</v>
      </c>
      <c r="B22" s="2"/>
      <c r="C22" s="2"/>
      <c r="D22" s="2"/>
      <c r="E22" s="2"/>
      <c r="F22" s="2"/>
      <c r="G22" s="2"/>
      <c r="H22" s="2"/>
      <c r="I22" s="2"/>
    </row>
    <row r="23" spans="1:9">
      <c r="A23" s="1" t="s">
        <v>72</v>
      </c>
      <c r="B23" s="2"/>
      <c r="C23" s="2"/>
      <c r="G23" s="4"/>
    </row>
    <row r="24" spans="1:9">
      <c r="A24" s="1" t="s">
        <v>40</v>
      </c>
      <c r="B24" s="2"/>
      <c r="C24" s="2"/>
      <c r="G24" s="3"/>
      <c r="I24" s="3"/>
    </row>
    <row r="25" spans="1:9">
      <c r="A25" s="2"/>
      <c r="B25" s="2"/>
      <c r="C25" s="2"/>
      <c r="D25" s="2"/>
      <c r="E25" s="2"/>
      <c r="F25" s="3"/>
      <c r="G25" s="3"/>
      <c r="H25" s="3"/>
      <c r="I25" s="2"/>
    </row>
    <row r="26" spans="1:9">
      <c r="A26" s="2"/>
      <c r="B26" s="2"/>
      <c r="C26" s="1" t="s">
        <v>12</v>
      </c>
      <c r="D26" s="1" t="s">
        <v>44</v>
      </c>
      <c r="E26" s="1" t="s">
        <v>43</v>
      </c>
      <c r="F26" s="4" t="s">
        <v>42</v>
      </c>
      <c r="G26" s="3"/>
      <c r="H26" s="4" t="s">
        <v>41</v>
      </c>
      <c r="I26" s="4" t="s">
        <v>7</v>
      </c>
    </row>
    <row r="27" spans="1:9">
      <c r="A27" s="1" t="s">
        <v>39</v>
      </c>
      <c r="B27" s="2"/>
      <c r="C27" s="1" t="s">
        <v>48</v>
      </c>
      <c r="D27" s="3">
        <v>0</v>
      </c>
      <c r="E27" s="3">
        <v>0</v>
      </c>
      <c r="F27" s="3">
        <v>4778</v>
      </c>
      <c r="G27" s="3"/>
      <c r="H27" s="3">
        <v>4903</v>
      </c>
      <c r="I27" s="2"/>
    </row>
    <row r="28" spans="1:9">
      <c r="A28" s="2"/>
      <c r="B28" s="2"/>
      <c r="C28" s="2"/>
      <c r="D28" s="2"/>
      <c r="E28" s="2"/>
      <c r="F28" s="3"/>
      <c r="G28" s="3"/>
      <c r="H28" s="3"/>
      <c r="I28" s="2"/>
    </row>
    <row r="29" spans="1:9">
      <c r="A29" s="2" t="s">
        <v>0</v>
      </c>
      <c r="B29" s="2"/>
      <c r="C29" s="14">
        <v>4.1000000000000002E-2</v>
      </c>
      <c r="D29" s="6">
        <f>D27*C29</f>
        <v>0</v>
      </c>
      <c r="E29" s="6">
        <f>E27*C29</f>
        <v>0</v>
      </c>
      <c r="F29" s="6">
        <f>F27*C29</f>
        <v>195.898</v>
      </c>
      <c r="G29" s="3"/>
      <c r="H29" s="6">
        <f>H9</f>
        <v>198.57150000000001</v>
      </c>
      <c r="I29" s="10">
        <f>SUM(D29:H29)</f>
        <v>394.46950000000004</v>
      </c>
    </row>
    <row r="30" spans="1:9">
      <c r="A30" s="2"/>
      <c r="B30" s="2"/>
      <c r="C30" s="2"/>
      <c r="D30" s="6"/>
      <c r="E30" s="6"/>
      <c r="F30" s="6"/>
      <c r="G30" s="3"/>
      <c r="H30" s="6"/>
      <c r="I30" s="10"/>
    </row>
    <row r="31" spans="1:9">
      <c r="A31" s="2" t="s">
        <v>1</v>
      </c>
      <c r="B31" s="2"/>
      <c r="C31" s="14">
        <v>0.63</v>
      </c>
      <c r="D31" s="6">
        <f>D27*C31</f>
        <v>0</v>
      </c>
      <c r="E31" s="6">
        <f>E27*C31</f>
        <v>0</v>
      </c>
      <c r="F31" s="6">
        <f>F27*C31</f>
        <v>3010.14</v>
      </c>
      <c r="G31" s="3"/>
      <c r="H31" s="6">
        <f>H11</f>
        <v>3132.0364</v>
      </c>
      <c r="I31" s="10">
        <f>SUM(D31:H31)</f>
        <v>6142.1764000000003</v>
      </c>
    </row>
    <row r="32" spans="1:9">
      <c r="A32" s="9" t="s">
        <v>11</v>
      </c>
      <c r="B32" s="2"/>
      <c r="C32" s="2">
        <v>1.2999999999999999E-2</v>
      </c>
      <c r="D32" s="6"/>
      <c r="E32" s="6"/>
      <c r="F32" s="6">
        <f>F27*C32</f>
        <v>62.113999999999997</v>
      </c>
      <c r="G32" s="3"/>
      <c r="H32" s="6">
        <f>H12</f>
        <v>0</v>
      </c>
      <c r="I32" s="10">
        <f>SUM(D32:H32)</f>
        <v>62.113999999999997</v>
      </c>
    </row>
    <row r="33" spans="1:9">
      <c r="A33" s="2"/>
      <c r="B33" s="2"/>
      <c r="C33" s="2"/>
      <c r="D33" s="6"/>
      <c r="E33" s="6"/>
      <c r="F33" s="6"/>
      <c r="G33" s="3"/>
      <c r="H33" s="6"/>
      <c r="I33" s="10"/>
    </row>
    <row r="34" spans="1:9">
      <c r="A34" s="2" t="s">
        <v>37</v>
      </c>
      <c r="B34" s="2"/>
      <c r="C34" s="14">
        <v>8.1000000000000003E-2</v>
      </c>
      <c r="D34" s="6">
        <f>D27*C34</f>
        <v>0</v>
      </c>
      <c r="E34" s="6">
        <f>E27*C34</f>
        <v>0</v>
      </c>
      <c r="F34" s="6">
        <f>F27*C34</f>
        <v>387.01800000000003</v>
      </c>
      <c r="G34" s="3"/>
      <c r="H34" s="6">
        <f>H14</f>
        <v>410.3811</v>
      </c>
      <c r="I34" s="10">
        <f>SUM(D34:H34)</f>
        <v>797.39910000000009</v>
      </c>
    </row>
    <row r="35" spans="1:9">
      <c r="A35" s="2"/>
      <c r="B35" s="2"/>
      <c r="C35" s="2"/>
      <c r="D35" s="6"/>
      <c r="E35" s="6"/>
      <c r="F35" s="6"/>
      <c r="G35" s="3"/>
      <c r="H35" s="6"/>
      <c r="I35" s="10"/>
    </row>
    <row r="36" spans="1:9">
      <c r="A36" s="2" t="s">
        <v>2</v>
      </c>
      <c r="B36" s="2"/>
      <c r="C36" s="14">
        <v>5.5E-2</v>
      </c>
      <c r="D36" s="6">
        <f>D27*C36</f>
        <v>0</v>
      </c>
      <c r="E36" s="6">
        <f>E27*C36</f>
        <v>0</v>
      </c>
      <c r="F36" s="6">
        <f>F27*C36</f>
        <v>262.79000000000002</v>
      </c>
      <c r="G36" s="3"/>
      <c r="H36" s="6">
        <f>H16</f>
        <v>326.04950000000002</v>
      </c>
      <c r="I36" s="10">
        <f>SUM(D36:H36)</f>
        <v>588.83950000000004</v>
      </c>
    </row>
    <row r="37" spans="1:9">
      <c r="A37" s="2"/>
      <c r="B37" s="2"/>
      <c r="C37" s="2"/>
      <c r="D37" s="6"/>
      <c r="E37" s="6"/>
      <c r="F37" s="6"/>
      <c r="G37" s="3"/>
      <c r="H37" s="6"/>
      <c r="I37" s="10"/>
    </row>
    <row r="38" spans="1:9">
      <c r="A38" s="2" t="s">
        <v>36</v>
      </c>
      <c r="B38" s="2"/>
      <c r="C38" s="14">
        <v>0.18</v>
      </c>
      <c r="D38" s="6">
        <f>D27*C38</f>
        <v>0</v>
      </c>
      <c r="E38" s="6">
        <f>E27*C38</f>
        <v>0</v>
      </c>
      <c r="F38" s="6">
        <f>F27*C38</f>
        <v>860.04</v>
      </c>
      <c r="G38" s="3"/>
      <c r="H38" s="6">
        <f>H18</f>
        <v>835.96150000000011</v>
      </c>
      <c r="I38" s="10">
        <f>SUM(D38:H38)</f>
        <v>1696.0015000000001</v>
      </c>
    </row>
    <row r="39" spans="1:9">
      <c r="A39" s="2"/>
      <c r="B39" s="2"/>
      <c r="C39" s="2"/>
      <c r="D39" s="2"/>
      <c r="E39" s="2"/>
      <c r="F39" s="3"/>
      <c r="G39" s="3"/>
      <c r="H39" s="3"/>
      <c r="I39" s="10"/>
    </row>
    <row r="40" spans="1:9">
      <c r="A40" s="2"/>
      <c r="B40" s="2" t="s">
        <v>47</v>
      </c>
      <c r="C40" s="2"/>
      <c r="D40" s="6">
        <f>SUM(D29:D38)</f>
        <v>0</v>
      </c>
      <c r="E40" s="6">
        <f>SUM(E29:E38)</f>
        <v>0</v>
      </c>
      <c r="F40" s="6">
        <f>SUM(F29:F38)</f>
        <v>4778</v>
      </c>
      <c r="G40" s="6"/>
      <c r="H40" s="6">
        <f>SUM(H29:H38)</f>
        <v>4903</v>
      </c>
      <c r="I40" s="10">
        <f>SUM(D40:H40)</f>
        <v>9681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 ht="18.75">
      <c r="A42" s="2" t="s">
        <v>74</v>
      </c>
      <c r="B42" s="2"/>
      <c r="C42" s="2"/>
      <c r="D42" s="2"/>
      <c r="E42" s="2"/>
      <c r="F42" s="2"/>
      <c r="G42" s="12" t="s">
        <v>68</v>
      </c>
      <c r="H42" s="2"/>
      <c r="I42" s="2"/>
    </row>
  </sheetData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activeCell="A30" sqref="A30"/>
    </sheetView>
  </sheetViews>
  <sheetFormatPr defaultRowHeight="15"/>
  <cols>
    <col min="1" max="1" width="22.140625" bestFit="1" customWidth="1"/>
    <col min="3" max="5" width="9.140625" style="3"/>
  </cols>
  <sheetData>
    <row r="1" spans="1:5" ht="18.75">
      <c r="A1" s="12" t="s">
        <v>54</v>
      </c>
    </row>
    <row r="2" spans="1:5" ht="18.75">
      <c r="A2" s="12" t="s">
        <v>55</v>
      </c>
    </row>
    <row r="3" spans="1:5" ht="18.75">
      <c r="A3" s="12" t="s">
        <v>10</v>
      </c>
    </row>
    <row r="4" spans="1:5" s="2" customFormat="1" ht="18.75">
      <c r="A4" s="12"/>
      <c r="C4" s="3"/>
      <c r="D4" s="3"/>
      <c r="E4" s="3"/>
    </row>
    <row r="5" spans="1:5" s="2" customFormat="1" ht="18.75">
      <c r="A5" s="12"/>
      <c r="C5" s="3"/>
      <c r="D5" s="3"/>
      <c r="E5" s="3"/>
    </row>
    <row r="6" spans="1:5">
      <c r="C6" s="4" t="s">
        <v>16</v>
      </c>
      <c r="D6" s="4"/>
      <c r="E6" s="8">
        <v>0.03</v>
      </c>
    </row>
    <row r="7" spans="1:5">
      <c r="C7" s="4" t="s">
        <v>3</v>
      </c>
      <c r="D7" s="4"/>
      <c r="E7" s="4" t="s">
        <v>3</v>
      </c>
    </row>
    <row r="8" spans="1:5" ht="18.75">
      <c r="A8" s="12" t="s">
        <v>1</v>
      </c>
    </row>
    <row r="9" spans="1:5">
      <c r="A9" s="9" t="s">
        <v>56</v>
      </c>
      <c r="C9" s="6">
        <f>0.4*452</f>
        <v>180.8</v>
      </c>
      <c r="E9" s="6">
        <f>0.4*3132</f>
        <v>1252.8000000000002</v>
      </c>
    </row>
    <row r="10" spans="1:5">
      <c r="A10" s="9" t="s">
        <v>57</v>
      </c>
      <c r="C10" s="6">
        <f t="shared" ref="C10" si="0">0.4*452</f>
        <v>180.8</v>
      </c>
      <c r="E10" s="6">
        <f>0.4*3132</f>
        <v>1252.8000000000002</v>
      </c>
    </row>
    <row r="11" spans="1:5">
      <c r="A11" s="9" t="s">
        <v>58</v>
      </c>
      <c r="C11" s="6">
        <f>0.1*452</f>
        <v>45.2</v>
      </c>
      <c r="E11" s="6">
        <f>0.1*3132</f>
        <v>313.20000000000005</v>
      </c>
    </row>
    <row r="12" spans="1:5">
      <c r="A12" s="9" t="s">
        <v>59</v>
      </c>
      <c r="C12" s="6">
        <f>0.1*452</f>
        <v>45.2</v>
      </c>
      <c r="E12" s="6">
        <f>0.1*3132</f>
        <v>313.20000000000005</v>
      </c>
    </row>
    <row r="13" spans="1:5">
      <c r="A13" s="9" t="s">
        <v>7</v>
      </c>
      <c r="C13" s="6">
        <f>SUM(C9:C12)</f>
        <v>452</v>
      </c>
      <c r="E13" s="6">
        <f>SUM(E9:E12)</f>
        <v>3132</v>
      </c>
    </row>
    <row r="14" spans="1:5" ht="18.75">
      <c r="A14" s="12" t="s">
        <v>0</v>
      </c>
    </row>
    <row r="15" spans="1:5">
      <c r="A15" s="9" t="s">
        <v>60</v>
      </c>
      <c r="C15" s="3">
        <v>56</v>
      </c>
      <c r="E15" s="3">
        <v>199</v>
      </c>
    </row>
    <row r="17" spans="1:5" ht="18.75">
      <c r="A17" s="12" t="s">
        <v>61</v>
      </c>
    </row>
    <row r="18" spans="1:5">
      <c r="A18" s="9" t="s">
        <v>62</v>
      </c>
      <c r="C18" s="3">
        <v>72</v>
      </c>
      <c r="E18" s="3">
        <v>410</v>
      </c>
    </row>
    <row r="20" spans="1:5" ht="18.75">
      <c r="A20" s="12" t="s">
        <v>63</v>
      </c>
    </row>
    <row r="21" spans="1:5">
      <c r="A21" s="9" t="s">
        <v>64</v>
      </c>
      <c r="C21" s="3">
        <v>93</v>
      </c>
      <c r="E21" s="3">
        <v>326</v>
      </c>
    </row>
    <row r="23" spans="1:5" ht="18.75">
      <c r="A23" s="12" t="s">
        <v>5</v>
      </c>
    </row>
    <row r="24" spans="1:5">
      <c r="A24" s="9" t="s">
        <v>65</v>
      </c>
      <c r="C24" s="3">
        <v>209</v>
      </c>
      <c r="E24" s="3">
        <v>836</v>
      </c>
    </row>
    <row r="26" spans="1:5">
      <c r="A26" s="16" t="s">
        <v>7</v>
      </c>
      <c r="C26" s="6">
        <f>SUM(C13:C24)</f>
        <v>882</v>
      </c>
      <c r="D26" s="6"/>
      <c r="E26" s="6">
        <f>SUM(E13:E24)</f>
        <v>4903</v>
      </c>
    </row>
    <row r="29" spans="1:5" ht="18.75">
      <c r="A29" s="2" t="s">
        <v>74</v>
      </c>
      <c r="D29" s="7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4-Colo Gen</vt:lpstr>
      <vt:lpstr>Table 5-Base Allocation</vt:lpstr>
      <vt:lpstr>Table 6-3% Allocation</vt:lpstr>
      <vt:lpstr>Table 7-conv Gen Allocation</vt:lpstr>
    </vt:vector>
  </TitlesOfParts>
  <Company>DORA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INEZ G. DOMINGUEZ</dc:creator>
  <cp:lastModifiedBy>Karen Carroll</cp:lastModifiedBy>
  <cp:lastPrinted>2011-03-08T20:54:15Z</cp:lastPrinted>
  <dcterms:created xsi:type="dcterms:W3CDTF">2011-01-24T16:31:57Z</dcterms:created>
  <dcterms:modified xsi:type="dcterms:W3CDTF">2011-03-30T23:38:30Z</dcterms:modified>
</cp:coreProperties>
</file>